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січень 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<sst xmlns="http://schemas.openxmlformats.org/spreadsheetml/2006/main" count="205" uniqueCount="193">
  <si>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</si>
  <si>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</si>
  <si>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</si>
  <si>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</si>
  <si>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</si>
  <si>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</si>
  <si>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</si>
  <si>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</si>
  <si>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</si>
  <si>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</si>
  <si>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</si>
  <si>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</si>
  <si>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</si>
  <si>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</si>
  <si>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</si>
  <si>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</si>
  <si>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</si>
  <si>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</si>
  <si>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</si>
  <si>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</si>
  <si>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</si>
  <si>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</si>
  <si>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</si>
  <si>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</si>
  <si>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</si>
  <si>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</si>
  <si>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</si>
  <si>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</si>
  <si>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</si>
  <si>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</si>
  <si>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</si>
  <si>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</si>
  <si>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</si>
  <si>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</si>
  <si>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</si>
  <si>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</si>
  <si>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</si>
  <si>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</si>
  <si>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</si>
  <si>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</si>
  <si>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</si>
  <si>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</si>
  <si>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</si>
  <si>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</si>
  <si>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</si>
  <si>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</si>
  <si>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</si>
  <si>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</si>
  <si>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</si>
  <si>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</si>
  <si>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</si>
  <si>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</si>
  <si>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</si>
  <si>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</si>
  <si>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</si>
  <si>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</si>
  <si>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</si>
  <si>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</si>
  <si>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</si>
  <si>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</si>
  <si>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</si>
  <si>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</si>
  <si>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</si>
  <si>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</si>
  <si>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</si>
  <si>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</si>
  <si>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</si>
  <si>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</si>
  <si>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</si>
  <si>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</si>
  <si>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</si>
  <si>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</si>
  <si>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</si>
  <si>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</si>
  <si>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</si>
  <si>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</si>
  <si>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</si>
  <si>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</si>
  <si>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</si>
  <si>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</si>
  <si>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</si>
  <si>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</si>
  <si>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</si>
  <si>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</si>
  <si>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</si>
  <si>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</si>
  <si>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</si>
  <si>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</si>
  <si>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</si>
  <si>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</si>
  <si>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</si>
  <si>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</si>
  <si>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</si>
  <si>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</si>
  <si>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</si>
  <si>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</si>
  <si>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</si>
  <si>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</si>
  <si>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</si>
  <si>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</si>
  <si>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</si>
  <si>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</si>
  <si>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</si>
  <si>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</si>
  <si>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</si>
  <si>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</si>
  <si>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</si>
  <si>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</si>
  <si>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</si>
  <si>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</si>
  <si>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</si>
  <si>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</si>
  <si>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</si>
  <si>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</si>
  <si>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</si>
  <si>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</si>
  <si>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</si>
  <si>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</si>
  <si>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</si>
  <si>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</si>
  <si>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</si>
  <si>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</si>
  <si>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</si>
  <si>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</si>
  <si>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</si>
  <si>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</si>
  <si>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</si>
  <si>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</si>
  <si>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</si>
  <si>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</si>
  <si>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</si>
  <si>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</si>
  <si>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</si>
  <si>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</si>
  <si>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</si>
  <si>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</si>
  <si>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</si>
  <si>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</si>
  <si>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</si>
  <si>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</si>
  <si>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</si>
  <si>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</si>
  <si>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</si>
  <si>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</si>
  <si>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</si>
  <si>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</si>
  <si>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</si>
  <si>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</si>
  <si>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</si>
  <si>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</si>
  <si>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</si>
  <si>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</si>
  <si>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</si>
  <si>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</si>
  <si>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</si>
  <si>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</si>
  <si>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</si>
  <si>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</si>
  <si>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</si>
  <si>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</si>
  <si>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</si>
  <si>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</si>
  <si>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</si>
  <si>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</si>
  <si>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</si>
  <si>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</si>
  <si>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</si>
  <si>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</si>
  <si>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</si>
  <si>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</si>
  <si>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</si>
  <si>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</si>
  <si>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</si>
  <si>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</si>
  <si>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</si>
  <si>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</si>
  <si>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</si>
  <si>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</si>
  <si>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</si>
  <si>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</si>
  <si>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</si>
  <si>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</si>
  <si>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</si>
  <si>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</si>
  <si>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</si>
  <si>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</si>
  <si>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Тимчасовий план на  І півріччя 2015 року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</si>
  <si>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</si>
  <si>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</si>
  <si>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</si>
  <si>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</si>
  <si>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12.01.2015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</si>
  <si>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09.01.15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</si>
</sst>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5" fontId="8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49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19" fillId="4" borderId="1" xfId="0" applyNumberFormat="1" applyFont="1" applyFill="1" applyBorder="1" applyAlignment="1" applyProtection="1">
      <alignment horizontal="right"/>
      <protection/>
    </xf>
    <xf numFmtId="175" fontId="13" fillId="4" borderId="1" xfId="0" applyNumberFormat="1" applyFont="1" applyFill="1" applyBorder="1" applyAlignment="1" applyProtection="1">
      <alignment horizontal="right" wrapText="1"/>
      <protection/>
    </xf>
    <xf numFmtId="175" fontId="13" fillId="4" borderId="1" xfId="0" applyNumberFormat="1" applyFont="1" applyFill="1" applyBorder="1" applyAlignment="1" applyProtection="1">
      <alignment horizontal="right" wrapText="1"/>
      <protection locked="0"/>
    </xf>
    <xf numFmtId="174" fontId="27" fillId="4" borderId="1" xfId="0" applyNumberFormat="1" applyFont="1" applyFill="1" applyBorder="1" applyAlignment="1" applyProtection="1">
      <alignment horizontal="right"/>
      <protection/>
    </xf>
    <xf numFmtId="4" fontId="7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2" fontId="8" fillId="4" borderId="1" xfId="20" applyNumberFormat="1" applyFont="1" applyFill="1" applyBorder="1" applyProtection="1">
      <alignment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4" fontId="8" fillId="4" borderId="1" xfId="20" applyNumberFormat="1" applyFont="1" applyFill="1" applyBorder="1" applyProtection="1">
      <alignment/>
      <protection/>
    </xf>
    <xf numFmtId="0" fontId="3" fillId="0" borderId="0" xfId="20" applyFont="1" applyFill="1" applyAlignment="1" applyProtection="1">
      <alignment horizontal="center"/>
      <protection/>
    </xf>
    <xf numFmtId="0" fontId="8" fillId="0" borderId="5" xfId="20" applyFont="1" applyFill="1" applyBorder="1" applyAlignment="1" applyProtection="1">
      <alignment horizontal="center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4" borderId="4" xfId="0" applyFont="1" applyFill="1" applyBorder="1" applyAlignment="1" applyProtection="1">
      <alignment horizontal="center" vertical="center" wrapText="1"/>
      <protection/>
    </xf>
    <xf numFmtId="0" fontId="29" fillId="4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2"/>
      <sheetName val="депозит"/>
      <sheetName val="залишки  (2)"/>
      <sheetName val="надх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5">
        <row r="27">
          <cell r="C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39" sqref="I139:I1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3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6384" width="9.125" style="4" customWidth="1"/>
  </cols>
  <sheetData>
    <row r="1" spans="1:18" s="1" customFormat="1" ht="26.25" customHeight="1">
      <c r="A1" s="166" t="s">
        <v>191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17"/>
      <c r="R1" s="118"/>
    </row>
    <row r="2" spans="2:18" s="1" customFormat="1" ht="15.75" customHeight="1">
      <c r="B2" s="167"/>
      <c r="C2" s="167"/>
      <c r="D2" s="167"/>
      <c r="E2" s="2"/>
      <c r="F2" s="163"/>
      <c r="G2" s="2"/>
      <c r="H2" s="2"/>
      <c r="P2" s="20" t="s">
        <v>104</v>
      </c>
      <c r="Q2" s="20"/>
      <c r="R2" s="119"/>
    </row>
    <row r="3" spans="1:18" s="3" customFormat="1" ht="13.5" customHeight="1">
      <c r="A3" s="168"/>
      <c r="B3" s="170"/>
      <c r="C3" s="171" t="s">
        <v>0</v>
      </c>
      <c r="D3" s="172" t="s">
        <v>186</v>
      </c>
      <c r="E3" s="40"/>
      <c r="F3" s="173" t="s">
        <v>107</v>
      </c>
      <c r="G3" s="174"/>
      <c r="H3" s="174"/>
      <c r="I3" s="174"/>
      <c r="J3" s="175"/>
      <c r="K3" s="114"/>
      <c r="L3" s="114"/>
      <c r="M3" s="176" t="s">
        <v>188</v>
      </c>
      <c r="N3" s="165" t="s">
        <v>175</v>
      </c>
      <c r="O3" s="165"/>
      <c r="P3" s="165"/>
      <c r="Q3" s="165"/>
      <c r="R3" s="165"/>
    </row>
    <row r="4" spans="1:18" ht="22.5" customHeight="1">
      <c r="A4" s="168"/>
      <c r="B4" s="170"/>
      <c r="C4" s="171"/>
      <c r="D4" s="172"/>
      <c r="E4" s="179" t="s">
        <v>153</v>
      </c>
      <c r="F4" s="183" t="s">
        <v>116</v>
      </c>
      <c r="G4" s="185" t="s">
        <v>173</v>
      </c>
      <c r="H4" s="187" t="s">
        <v>174</v>
      </c>
      <c r="I4" s="189" t="s">
        <v>187</v>
      </c>
      <c r="J4" s="161" t="s">
        <v>190</v>
      </c>
      <c r="K4" s="116" t="s">
        <v>172</v>
      </c>
      <c r="L4" s="121" t="s">
        <v>171</v>
      </c>
      <c r="M4" s="177"/>
      <c r="N4" s="146" t="s">
        <v>192</v>
      </c>
      <c r="O4" s="189" t="s">
        <v>136</v>
      </c>
      <c r="P4" s="165" t="s">
        <v>135</v>
      </c>
      <c r="Q4" s="122" t="s">
        <v>172</v>
      </c>
      <c r="R4" s="123" t="s">
        <v>171</v>
      </c>
    </row>
    <row r="5" spans="1:18" ht="92.25" customHeight="1">
      <c r="A5" s="169"/>
      <c r="B5" s="170"/>
      <c r="C5" s="171"/>
      <c r="D5" s="172"/>
      <c r="E5" s="180"/>
      <c r="F5" s="184"/>
      <c r="G5" s="186"/>
      <c r="H5" s="188"/>
      <c r="I5" s="190"/>
      <c r="J5" s="145"/>
      <c r="K5" s="181" t="s">
        <v>189</v>
      </c>
      <c r="L5" s="182"/>
      <c r="M5" s="178"/>
      <c r="N5" s="194"/>
      <c r="O5" s="190"/>
      <c r="P5" s="165"/>
      <c r="Q5" s="181" t="s">
        <v>176</v>
      </c>
      <c r="R5" s="182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47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47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230107</v>
      </c>
      <c r="E8" s="18">
        <f>E10+E19+E33+E56+E68+E30</f>
        <v>36633</v>
      </c>
      <c r="F8" s="156">
        <f>F10+F19+F33+F56+F68+F30</f>
        <v>6945.75</v>
      </c>
      <c r="G8" s="18">
        <f aca="true" t="shared" si="0" ref="G8:G30">F8-E8</f>
        <v>-29687.25</v>
      </c>
      <c r="H8" s="45">
        <f>F8/E8*100</f>
        <v>18.960363606584227</v>
      </c>
      <c r="I8" s="31">
        <f aca="true" t="shared" si="1" ref="I8:I17">F8-D8</f>
        <v>-223161.25</v>
      </c>
      <c r="J8" s="31">
        <f aca="true" t="shared" si="2" ref="J8:J14">F8/D8*100</f>
        <v>3.0184870516759594</v>
      </c>
      <c r="K8" s="31">
        <f>F8-33748.2</f>
        <v>-26802.449999999997</v>
      </c>
      <c r="L8" s="31">
        <f>F8/33748.2*100</f>
        <v>20.581097658541793</v>
      </c>
      <c r="M8" s="18">
        <f>M10+M19+M33+M56+M68+M30</f>
        <v>36633</v>
      </c>
      <c r="N8" s="18">
        <f>N10+N19+N33+N56+N68+N30</f>
        <v>6945.75</v>
      </c>
      <c r="O8" s="31">
        <f aca="true" t="shared" si="3" ref="O8:O55">N8-M8</f>
        <v>-29687.25</v>
      </c>
      <c r="P8" s="31">
        <f>F8/M8*100</f>
        <v>18.960363606584227</v>
      </c>
      <c r="Q8" s="31">
        <f>N8-33748.16</f>
        <v>-26802.410000000003</v>
      </c>
      <c r="R8" s="125">
        <f>N8/33748.16</f>
        <v>0.20581122052283737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184300</v>
      </c>
      <c r="E9" s="16"/>
      <c r="F9" s="148">
        <f>F10+F17</f>
        <v>6554.94</v>
      </c>
      <c r="G9" s="18">
        <f t="shared" si="0"/>
        <v>6554.94</v>
      </c>
      <c r="H9" s="16"/>
      <c r="I9" s="50">
        <f t="shared" si="1"/>
        <v>-177745.06</v>
      </c>
      <c r="J9" s="50">
        <f t="shared" si="2"/>
        <v>3.556668475311991</v>
      </c>
      <c r="K9" s="50"/>
      <c r="L9" s="50"/>
      <c r="M9" s="16">
        <f>M10+M17</f>
        <v>29300</v>
      </c>
      <c r="N9" s="16">
        <f>N10+N17</f>
        <v>6554.94</v>
      </c>
      <c r="O9" s="31">
        <f t="shared" si="3"/>
        <v>-22745.06</v>
      </c>
      <c r="P9" s="50">
        <f>F9/M9*100</f>
        <v>22.371808873720138</v>
      </c>
      <c r="Q9" s="50"/>
      <c r="R9" s="126"/>
    </row>
    <row r="10" spans="1:18" s="6" customFormat="1" ht="15.75">
      <c r="A10" s="8"/>
      <c r="B10" s="15" t="s">
        <v>145</v>
      </c>
      <c r="C10" s="59">
        <v>11010000</v>
      </c>
      <c r="D10" s="36">
        <v>184300</v>
      </c>
      <c r="E10" s="36">
        <v>29300</v>
      </c>
      <c r="F10" s="157">
        <v>6554.94</v>
      </c>
      <c r="G10" s="43">
        <f t="shared" si="0"/>
        <v>-22745.06</v>
      </c>
      <c r="H10" s="35">
        <f aca="true" t="shared" si="4" ref="H10:H17">F10/E10*100</f>
        <v>22.371808873720138</v>
      </c>
      <c r="I10" s="50">
        <f t="shared" si="1"/>
        <v>-177745.06</v>
      </c>
      <c r="J10" s="50">
        <f t="shared" si="2"/>
        <v>3.556668475311991</v>
      </c>
      <c r="K10" s="132">
        <f>F10-26568.11</f>
        <v>-20013.170000000002</v>
      </c>
      <c r="L10" s="132">
        <f>F10/26568.11*100</f>
        <v>24.672210405632917</v>
      </c>
      <c r="M10" s="35">
        <f>E10</f>
        <v>29300</v>
      </c>
      <c r="N10" s="35">
        <f>F10</f>
        <v>6554.94</v>
      </c>
      <c r="O10" s="47">
        <f t="shared" si="3"/>
        <v>-22745.06</v>
      </c>
      <c r="P10" s="50">
        <f aca="true" t="shared" si="5" ref="P10:P17">N10/M10*100</f>
        <v>22.371808873720138</v>
      </c>
      <c r="Q10" s="132">
        <f>N10-26568.11</f>
        <v>-20013.170000000002</v>
      </c>
      <c r="R10" s="133">
        <f>N10/26568.11</f>
        <v>0.24672210405632916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57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57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57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57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57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57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57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57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57">
        <v>11</v>
      </c>
      <c r="G19" s="43">
        <f t="shared" si="0"/>
        <v>-89</v>
      </c>
      <c r="H19" s="35">
        <f aca="true" t="shared" si="8" ref="H19:H29">F19/E19*100</f>
        <v>11</v>
      </c>
      <c r="I19" s="50">
        <f aca="true" t="shared" si="9" ref="I19:I28">F19-D19</f>
        <v>-589</v>
      </c>
      <c r="J19" s="50">
        <f aca="true" t="shared" si="10" ref="J19:J28">F19/D19*100</f>
        <v>1.8333333333333333</v>
      </c>
      <c r="K19" s="50">
        <f>F19-358.81</f>
        <v>-347.81</v>
      </c>
      <c r="L19" s="50">
        <f>F19/358.81*100</f>
        <v>3.0656893620579138</v>
      </c>
      <c r="M19" s="35">
        <f t="shared" si="6"/>
        <v>100</v>
      </c>
      <c r="N19" s="35">
        <f t="shared" si="7"/>
        <v>11</v>
      </c>
      <c r="O19" s="47">
        <f t="shared" si="3"/>
        <v>-89</v>
      </c>
      <c r="P19" s="50">
        <f aca="true" t="shared" si="11" ref="P19:P29">N19/M19*100</f>
        <v>11</v>
      </c>
      <c r="Q19" s="50">
        <f>N19-358.81</f>
        <v>-347.81</v>
      </c>
      <c r="R19" s="126">
        <f>N19/358.81</f>
        <v>0.030656893620579138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57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57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57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57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57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57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57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57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57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58">
        <v>11</v>
      </c>
      <c r="G29" s="43">
        <f t="shared" si="0"/>
        <v>-89</v>
      </c>
      <c r="H29" s="35">
        <f t="shared" si="8"/>
        <v>11</v>
      </c>
      <c r="I29" s="50"/>
      <c r="J29" s="50"/>
      <c r="K29" s="136">
        <f>F29-358.79</f>
        <v>-347.79</v>
      </c>
      <c r="L29" s="136">
        <f>F29/358.79*100</f>
        <v>3.0658602525153986</v>
      </c>
      <c r="M29" s="35">
        <f t="shared" si="6"/>
        <v>100</v>
      </c>
      <c r="N29" s="35">
        <f t="shared" si="7"/>
        <v>11</v>
      </c>
      <c r="O29" s="47">
        <f t="shared" si="3"/>
        <v>-89</v>
      </c>
      <c r="P29" s="50">
        <f t="shared" si="11"/>
        <v>11</v>
      </c>
      <c r="Q29" s="136">
        <f>N29-358.81</f>
        <v>-347.81</v>
      </c>
      <c r="R29" s="141">
        <f>N29/358.79</f>
        <v>0.030658602525153986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57">
        <v>0</v>
      </c>
      <c r="G30" s="43">
        <f t="shared" si="0"/>
        <v>0</v>
      </c>
      <c r="H30" s="35"/>
      <c r="I30" s="50"/>
      <c r="J30" s="50"/>
      <c r="K30" s="50">
        <f>F30-0</f>
        <v>0</v>
      </c>
      <c r="L30" s="50"/>
      <c r="M30" s="35">
        <f t="shared" si="6"/>
        <v>0</v>
      </c>
      <c r="N30" s="35">
        <f t="shared" si="7"/>
        <v>0</v>
      </c>
      <c r="O30" s="47">
        <f t="shared" si="3"/>
        <v>0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57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57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57">
        <v>321.79</v>
      </c>
      <c r="G33" s="43">
        <f aca="true" t="shared" si="16" ref="G33:G55">F33-E33</f>
        <v>-6358.21</v>
      </c>
      <c r="H33" s="35">
        <f aca="true" t="shared" si="17" ref="H33:H55">F33/E33*100</f>
        <v>4.8172155688622755</v>
      </c>
      <c r="I33" s="50">
        <f>F33-D33</f>
        <v>-41258.21</v>
      </c>
      <c r="J33" s="50">
        <f aca="true" t="shared" si="18" ref="J33:J55">F33/D33*100</f>
        <v>0.773905723905724</v>
      </c>
      <c r="K33" s="132">
        <f>F33-6293.29</f>
        <v>-5971.5</v>
      </c>
      <c r="L33" s="132">
        <f>F33/6293.29*100</f>
        <v>5.113223766900938</v>
      </c>
      <c r="M33" s="35">
        <f t="shared" si="6"/>
        <v>6680</v>
      </c>
      <c r="N33" s="35">
        <f t="shared" si="7"/>
        <v>321.79</v>
      </c>
      <c r="O33" s="47">
        <f t="shared" si="3"/>
        <v>-6358.21</v>
      </c>
      <c r="P33" s="50">
        <f aca="true" t="shared" si="19" ref="P33:P55">N33/M33*100</f>
        <v>4.8172155688622755</v>
      </c>
      <c r="Q33" s="132">
        <f>N33-6293.29</f>
        <v>-5971.5</v>
      </c>
      <c r="R33" s="133">
        <f>N33/6293.29</f>
        <v>0.05113223766900938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57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57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57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57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57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57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57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57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57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57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57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57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57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57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57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57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57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57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57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57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57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58">
        <v>305.95</v>
      </c>
      <c r="G55" s="135">
        <f t="shared" si="16"/>
        <v>-4944.05</v>
      </c>
      <c r="H55" s="137">
        <f t="shared" si="17"/>
        <v>5.827619047619048</v>
      </c>
      <c r="I55" s="136">
        <f t="shared" si="20"/>
        <v>-31294.05</v>
      </c>
      <c r="J55" s="136">
        <f t="shared" si="18"/>
        <v>0.9681962025316456</v>
      </c>
      <c r="K55" s="136">
        <f>F55-4687.91</f>
        <v>-4381.96</v>
      </c>
      <c r="L55" s="136">
        <f>F55/4687.91*100</f>
        <v>6.5263624941605105</v>
      </c>
      <c r="M55" s="137">
        <f t="shared" si="6"/>
        <v>5250</v>
      </c>
      <c r="N55" s="137">
        <f t="shared" si="7"/>
        <v>305.95</v>
      </c>
      <c r="O55" s="138">
        <f t="shared" si="3"/>
        <v>-4944.05</v>
      </c>
      <c r="P55" s="136">
        <f t="shared" si="19"/>
        <v>5.827619047619048</v>
      </c>
      <c r="Q55" s="139">
        <f>N55-4687.91</f>
        <v>-4381.96</v>
      </c>
      <c r="R55" s="140">
        <f>N55/4687.91</f>
        <v>0.0652636249416051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57">
        <v>58.02</v>
      </c>
      <c r="G56" s="43">
        <f aca="true" t="shared" si="25" ref="G56:G72">F56-E56</f>
        <v>-494.98</v>
      </c>
      <c r="H56" s="35">
        <f aca="true" t="shared" si="26" ref="H56:H67">F56/E56*100</f>
        <v>10.491862567811935</v>
      </c>
      <c r="I56" s="50">
        <f aca="true" t="shared" si="27" ref="I56:I72">F56-D56</f>
        <v>-3568.98</v>
      </c>
      <c r="J56" s="50">
        <f aca="true" t="shared" si="28" ref="J56:J72">F56/D56*100</f>
        <v>1.5996691480562448</v>
      </c>
      <c r="K56" s="50">
        <f>F56-527.8</f>
        <v>-469.78</v>
      </c>
      <c r="L56" s="50">
        <f>F56/527.8*100</f>
        <v>10.992800303145133</v>
      </c>
      <c r="M56" s="35">
        <f t="shared" si="6"/>
        <v>553</v>
      </c>
      <c r="N56" s="35">
        <f t="shared" si="7"/>
        <v>58.02</v>
      </c>
      <c r="O56" s="47">
        <f aca="true" t="shared" si="29" ref="O56:O72">N56-M56</f>
        <v>-494.98</v>
      </c>
      <c r="P56" s="50">
        <f aca="true" t="shared" si="30" ref="P56:P67">N56/M56*100</f>
        <v>10.491862567811935</v>
      </c>
      <c r="Q56" s="50">
        <f>N56-527.8</f>
        <v>-469.78</v>
      </c>
      <c r="R56" s="126">
        <f>N56/527.8</f>
        <v>0.10992800303145132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57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57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57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57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57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57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57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57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57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57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57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57">
        <v>0</v>
      </c>
      <c r="G68" s="43">
        <f t="shared" si="25"/>
        <v>0</v>
      </c>
      <c r="H68" s="35"/>
      <c r="I68" s="50">
        <f t="shared" si="27"/>
        <v>0</v>
      </c>
      <c r="J68" s="50" t="e">
        <f t="shared" si="28"/>
        <v>#DIV/0!</v>
      </c>
      <c r="K68" s="50">
        <f>F68-0.15</f>
        <v>-0.15</v>
      </c>
      <c r="L68" s="50">
        <f>F68/0.15*100</f>
        <v>0</v>
      </c>
      <c r="M68" s="35">
        <f t="shared" si="6"/>
        <v>0</v>
      </c>
      <c r="N68" s="35">
        <f t="shared" si="7"/>
        <v>0</v>
      </c>
      <c r="O68" s="47">
        <f t="shared" si="29"/>
        <v>0</v>
      </c>
      <c r="P68" s="50"/>
      <c r="Q68" s="50">
        <f>N68-0.15</f>
        <v>-0.15</v>
      </c>
      <c r="R68" s="126">
        <f>N68/0.15</f>
        <v>0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9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0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9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9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9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56">
        <f>F77+F86+F88+F89+F94+F95+F96+F97+F99+F103+F87</f>
        <v>786.24</v>
      </c>
      <c r="G74" s="44">
        <f aca="true" t="shared" si="32" ref="G74:G92">F74-E74</f>
        <v>-304.76</v>
      </c>
      <c r="H74" s="45">
        <f aca="true" t="shared" si="33" ref="H74:H86">F74/E74*100</f>
        <v>72.0659945004583</v>
      </c>
      <c r="I74" s="31">
        <f aca="true" t="shared" si="34" ref="I74:I92">F74-D74</f>
        <v>-5845.76</v>
      </c>
      <c r="J74" s="31">
        <f aca="true" t="shared" si="35" ref="J74:J92">F74/D74*100</f>
        <v>11.85524728588661</v>
      </c>
      <c r="K74" s="31">
        <f>F74-1017.6</f>
        <v>-231.36</v>
      </c>
      <c r="L74" s="31">
        <f>F74/1017.6*100</f>
        <v>77.26415094339623</v>
      </c>
      <c r="M74" s="18">
        <f>M77+M86+M88+M89+M94+M95+M96+M97+M99+M87</f>
        <v>1091</v>
      </c>
      <c r="N74" s="18">
        <f>N77+N86+N88+N89+N94+N95+N96+N97+N99+N32+N103+N87</f>
        <v>786.24</v>
      </c>
      <c r="O74" s="49">
        <f aca="true" t="shared" si="36" ref="O74:O92">N74-M74</f>
        <v>-304.76</v>
      </c>
      <c r="P74" s="31">
        <f>N74/M74*100</f>
        <v>72.0659945004583</v>
      </c>
      <c r="Q74" s="31">
        <f>N74-1017.63</f>
        <v>-231.39</v>
      </c>
      <c r="R74" s="127">
        <f>N74/1017.63</f>
        <v>0.7726187317590874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1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2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57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57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57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57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57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57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57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57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57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57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57">
        <v>0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0</v>
      </c>
      <c r="O87" s="47"/>
      <c r="P87" s="50"/>
      <c r="Q87" s="50">
        <f>N87-4.23</f>
        <v>-4.23</v>
      </c>
      <c r="R87" s="126">
        <f>N87/4.23</f>
        <v>0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57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57">
        <v>1.19</v>
      </c>
      <c r="G89" s="43">
        <f t="shared" si="32"/>
        <v>-8.81</v>
      </c>
      <c r="H89" s="35">
        <f>F89/E89*100</f>
        <v>11.899999999999999</v>
      </c>
      <c r="I89" s="50">
        <f t="shared" si="34"/>
        <v>-58.81</v>
      </c>
      <c r="J89" s="50">
        <f t="shared" si="35"/>
        <v>1.9833333333333332</v>
      </c>
      <c r="K89" s="50">
        <f>F89-9.02</f>
        <v>-7.83</v>
      </c>
      <c r="L89" s="50">
        <f>F89/9.02*100</f>
        <v>13.19290465631929</v>
      </c>
      <c r="M89" s="35">
        <f t="shared" si="39"/>
        <v>10</v>
      </c>
      <c r="N89" s="35">
        <f t="shared" si="40"/>
        <v>1.19</v>
      </c>
      <c r="O89" s="47">
        <f t="shared" si="36"/>
        <v>-8.81</v>
      </c>
      <c r="P89" s="50">
        <f>N89/M89*100</f>
        <v>11.899999999999999</v>
      </c>
      <c r="Q89" s="50">
        <f>N89-9.02</f>
        <v>-7.83</v>
      </c>
      <c r="R89" s="126">
        <f>N89/9.02</f>
        <v>0.1319290465631929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57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57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57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57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57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57">
        <v>687.27</v>
      </c>
      <c r="G95" s="43">
        <f t="shared" si="41"/>
        <v>57.26999999999998</v>
      </c>
      <c r="H95" s="35">
        <f>F95/E95*100</f>
        <v>109.09047619047618</v>
      </c>
      <c r="I95" s="50">
        <f t="shared" si="42"/>
        <v>-3092.73</v>
      </c>
      <c r="J95" s="50">
        <f>F95/D95*100</f>
        <v>18.181746031746034</v>
      </c>
      <c r="K95" s="50">
        <f>F95-647.49</f>
        <v>39.77999999999997</v>
      </c>
      <c r="L95" s="50">
        <f>F95/647.49*100</f>
        <v>106.1437242274012</v>
      </c>
      <c r="M95" s="35">
        <f t="shared" si="39"/>
        <v>630</v>
      </c>
      <c r="N95" s="35">
        <f t="shared" si="40"/>
        <v>687.27</v>
      </c>
      <c r="O95" s="47">
        <f t="shared" si="43"/>
        <v>57.26999999999998</v>
      </c>
      <c r="P95" s="50">
        <f>N95/M95*100</f>
        <v>109.09047619047618</v>
      </c>
      <c r="Q95" s="50">
        <f>N95-647.49</f>
        <v>39.77999999999997</v>
      </c>
      <c r="R95" s="126">
        <f>N95/647.49</f>
        <v>1.061437242274012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57">
        <v>1.36</v>
      </c>
      <c r="G96" s="43">
        <f t="shared" si="41"/>
        <v>-68.64</v>
      </c>
      <c r="H96" s="35">
        <f>F96/E96*100</f>
        <v>1.942857142857143</v>
      </c>
      <c r="I96" s="50">
        <f t="shared" si="42"/>
        <v>-418.64</v>
      </c>
      <c r="J96" s="50">
        <f>F96/D96*100</f>
        <v>0.3238095238095238</v>
      </c>
      <c r="K96" s="50">
        <f>F96-79.51</f>
        <v>-78.15</v>
      </c>
      <c r="L96" s="50">
        <f>F96/79.51*100</f>
        <v>1.710476669601308</v>
      </c>
      <c r="M96" s="35">
        <f t="shared" si="39"/>
        <v>70</v>
      </c>
      <c r="N96" s="35">
        <f t="shared" si="40"/>
        <v>1.36</v>
      </c>
      <c r="O96" s="47">
        <f t="shared" si="43"/>
        <v>-68.64</v>
      </c>
      <c r="P96" s="50">
        <f>N96/M96*100</f>
        <v>1.942857142857143</v>
      </c>
      <c r="Q96" s="50">
        <f>N96-79.51</f>
        <v>-78.15</v>
      </c>
      <c r="R96" s="126">
        <f>N96/79.51</f>
        <v>0.01710476669601308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57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57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57">
        <v>96.42</v>
      </c>
      <c r="G99" s="43">
        <f t="shared" si="41"/>
        <v>-283.58</v>
      </c>
      <c r="H99" s="35">
        <f>F99/E99*100</f>
        <v>25.373684210526314</v>
      </c>
      <c r="I99" s="50">
        <f t="shared" si="42"/>
        <v>-2183.58</v>
      </c>
      <c r="J99" s="50">
        <f>F99/D99*100</f>
        <v>4.228947368421053</v>
      </c>
      <c r="K99" s="50">
        <f>F99-277.38</f>
        <v>-180.95999999999998</v>
      </c>
      <c r="L99" s="50">
        <f>F99/277.38*100</f>
        <v>34.76097772009518</v>
      </c>
      <c r="M99" s="35">
        <f t="shared" si="39"/>
        <v>380</v>
      </c>
      <c r="N99" s="35">
        <f t="shared" si="40"/>
        <v>96.42</v>
      </c>
      <c r="O99" s="47">
        <f t="shared" si="43"/>
        <v>-283.58</v>
      </c>
      <c r="P99" s="50">
        <f>N99/M99*100</f>
        <v>25.373684210526314</v>
      </c>
      <c r="Q99" s="50">
        <f>N99-277.38</f>
        <v>-180.95999999999998</v>
      </c>
      <c r="R99" s="126">
        <f>N99/277.38</f>
        <v>0.34760977720095176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57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57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58">
        <v>21.8</v>
      </c>
      <c r="G102" s="135"/>
      <c r="H102" s="137"/>
      <c r="I102" s="136"/>
      <c r="J102" s="136"/>
      <c r="K102" s="136">
        <f>F102-64.93</f>
        <v>-43.13000000000001</v>
      </c>
      <c r="L102" s="138">
        <f>F102/64.93*100</f>
        <v>33.57461882026798</v>
      </c>
      <c r="M102" s="35">
        <f t="shared" si="39"/>
        <v>0</v>
      </c>
      <c r="N102" s="35">
        <f t="shared" si="40"/>
        <v>21.8</v>
      </c>
      <c r="O102" s="47"/>
      <c r="P102" s="50"/>
      <c r="Q102" s="50">
        <f>N102-64.93</f>
        <v>-43.13000000000001</v>
      </c>
      <c r="R102" s="126">
        <f>N102/64.93</f>
        <v>0.33574618820267976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57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57">
        <v>0</v>
      </c>
      <c r="G104" s="43">
        <f>F104-E104</f>
        <v>-2</v>
      </c>
      <c r="H104" s="35"/>
      <c r="I104" s="50">
        <f t="shared" si="44"/>
        <v>-11</v>
      </c>
      <c r="J104" s="50">
        <f aca="true" t="shared" si="46" ref="J104:J109">F104/D104*100</f>
        <v>0</v>
      </c>
      <c r="K104" s="50">
        <f>F104-2.2</f>
        <v>-2.2</v>
      </c>
      <c r="L104" s="50">
        <f>F104/2.21*100</f>
        <v>0</v>
      </c>
      <c r="M104" s="35">
        <f t="shared" si="39"/>
        <v>2</v>
      </c>
      <c r="N104" s="35">
        <f t="shared" si="40"/>
        <v>0</v>
      </c>
      <c r="O104" s="47">
        <f t="shared" si="45"/>
        <v>-2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57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18" s="6" customFormat="1" ht="18.75">
      <c r="A106" s="9"/>
      <c r="B106" s="17" t="s">
        <v>109</v>
      </c>
      <c r="C106" s="84"/>
      <c r="D106" s="18">
        <f>D8+D74+D104+D105</f>
        <v>236750</v>
      </c>
      <c r="E106" s="18">
        <f>E8+E74+E104+E105</f>
        <v>37726</v>
      </c>
      <c r="F106" s="156">
        <f>F8+F74+F104+F105</f>
        <v>7731.99</v>
      </c>
      <c r="G106" s="44">
        <f>F106-E106</f>
        <v>-29994.010000000002</v>
      </c>
      <c r="H106" s="45">
        <f>F106/E106*100</f>
        <v>20.495122727031756</v>
      </c>
      <c r="I106" s="31">
        <f t="shared" si="44"/>
        <v>-229018.01</v>
      </c>
      <c r="J106" s="31">
        <f t="shared" si="46"/>
        <v>3.2658880675818374</v>
      </c>
      <c r="K106" s="31">
        <f>F106-34768</f>
        <v>-27036.010000000002</v>
      </c>
      <c r="L106" s="31">
        <f>F106/34768*100</f>
        <v>22.238811550851356</v>
      </c>
      <c r="M106" s="18">
        <f>M8+M74+M104+M105</f>
        <v>37726</v>
      </c>
      <c r="N106" s="18">
        <f>N8+N74+N104+N105</f>
        <v>7731.99</v>
      </c>
      <c r="O106" s="49">
        <f t="shared" si="45"/>
        <v>-29994.010000000002</v>
      </c>
      <c r="P106" s="31">
        <f>N106/M106*100</f>
        <v>20.495122727031756</v>
      </c>
      <c r="Q106" s="31">
        <f>N106-34768</f>
        <v>-27036.010000000002</v>
      </c>
      <c r="R106" s="127">
        <f>N106/34768</f>
        <v>0.22238811550851356</v>
      </c>
    </row>
    <row r="107" spans="1:18" s="66" customFormat="1" ht="18.75">
      <c r="A107" s="62"/>
      <c r="B107" s="63" t="s">
        <v>141</v>
      </c>
      <c r="C107" s="85"/>
      <c r="D107" s="64">
        <f>D10-D18+D96</f>
        <v>184720</v>
      </c>
      <c r="E107" s="64">
        <f>E10-E18+E96</f>
        <v>29370</v>
      </c>
      <c r="F107" s="156">
        <f>F10-F18+F96</f>
        <v>6556.299999999999</v>
      </c>
      <c r="G107" s="64">
        <f>G10-G18+G96</f>
        <v>-22813.7</v>
      </c>
      <c r="H107" s="65">
        <f>F107/E107*100</f>
        <v>22.323118828736803</v>
      </c>
      <c r="I107" s="46">
        <f t="shared" si="44"/>
        <v>-178163.7</v>
      </c>
      <c r="J107" s="46">
        <f t="shared" si="46"/>
        <v>3.549317886530965</v>
      </c>
      <c r="K107" s="46">
        <f>F107-26647.6</f>
        <v>-20091.3</v>
      </c>
      <c r="L107" s="46">
        <f>F107/26647.6*100</f>
        <v>24.603716657410047</v>
      </c>
      <c r="M107" s="64">
        <f>M10-M18+M96</f>
        <v>29370</v>
      </c>
      <c r="N107" s="64">
        <f>N10-N18+N96</f>
        <v>6556.299999999999</v>
      </c>
      <c r="O107" s="47">
        <f t="shared" si="45"/>
        <v>-22813.7</v>
      </c>
      <c r="P107" s="46">
        <f>N107/M107*100</f>
        <v>22.323118828736803</v>
      </c>
      <c r="Q107" s="46">
        <f>N107-26647.62</f>
        <v>-20091.32</v>
      </c>
      <c r="R107" s="128">
        <f>N107/26647.62</f>
        <v>0.2460369819143323</v>
      </c>
    </row>
    <row r="108" spans="1:18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56">
        <f>F106-F107</f>
        <v>1175.6900000000005</v>
      </c>
      <c r="G108" s="55">
        <f>F108-E108</f>
        <v>-7180.3099999999995</v>
      </c>
      <c r="H108" s="65">
        <f>F108/E108*100</f>
        <v>14.070009573958838</v>
      </c>
      <c r="I108" s="46">
        <f t="shared" si="44"/>
        <v>-50854.31</v>
      </c>
      <c r="J108" s="46">
        <f t="shared" si="46"/>
        <v>2.259638669998079</v>
      </c>
      <c r="K108" s="46">
        <f>F108-8120.4</f>
        <v>-6944.709999999999</v>
      </c>
      <c r="L108" s="46">
        <f>F108/8120.4*100</f>
        <v>14.478227673513627</v>
      </c>
      <c r="M108" s="64">
        <f>M106-M107</f>
        <v>8356</v>
      </c>
      <c r="N108" s="64">
        <f>N106-N107</f>
        <v>1175.6900000000005</v>
      </c>
      <c r="O108" s="47">
        <f t="shared" si="45"/>
        <v>-7180.3099999999995</v>
      </c>
      <c r="P108" s="46">
        <f>N108/M108*100</f>
        <v>14.070009573958838</v>
      </c>
      <c r="Q108" s="46">
        <f>N108-8120.38</f>
        <v>-6944.69</v>
      </c>
      <c r="R108" s="128">
        <f>N108/8120.38</f>
        <v>0.1447826333250415</v>
      </c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56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'[1]січень'!$C$27/1000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53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3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59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59">
        <v>11.72</v>
      </c>
      <c r="G114" s="43">
        <f t="shared" si="47"/>
        <v>-702.139</v>
      </c>
      <c r="H114" s="35">
        <f aca="true" t="shared" si="50" ref="H114:H125">F114/E114*100</f>
        <v>1.6417807998498304</v>
      </c>
      <c r="I114" s="53">
        <f t="shared" si="48"/>
        <v>-4271.437</v>
      </c>
      <c r="J114" s="53">
        <f aca="true" t="shared" si="51" ref="J114:J120">F114/D114*100</f>
        <v>0.2736299416528509</v>
      </c>
      <c r="K114" s="53">
        <f>F114-68.14</f>
        <v>-56.42</v>
      </c>
      <c r="L114" s="53">
        <f>F114/68.14*100</f>
        <v>17.19988259465806</v>
      </c>
      <c r="M114" s="35">
        <f t="shared" si="49"/>
        <v>713.859</v>
      </c>
      <c r="N114" s="35">
        <f t="shared" si="49"/>
        <v>11.72</v>
      </c>
      <c r="O114" s="47">
        <f aca="true" t="shared" si="52" ref="O114:O125">N114-M114</f>
        <v>-702.139</v>
      </c>
      <c r="P114" s="53">
        <f>N114/M114*100</f>
        <v>1.6417807998498304</v>
      </c>
      <c r="Q114" s="53">
        <f>N114-68.14</f>
        <v>-56.42</v>
      </c>
      <c r="R114" s="129">
        <f>N114/68.14</f>
        <v>0.17199882594658059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59">
        <v>3.95</v>
      </c>
      <c r="G115" s="43">
        <f t="shared" si="47"/>
        <v>-21.05</v>
      </c>
      <c r="H115" s="35">
        <f t="shared" si="50"/>
        <v>15.8</v>
      </c>
      <c r="I115" s="53">
        <f t="shared" si="48"/>
        <v>-146.05</v>
      </c>
      <c r="J115" s="53">
        <f t="shared" si="51"/>
        <v>2.6333333333333333</v>
      </c>
      <c r="K115" s="53">
        <f>F115-24.53</f>
        <v>-20.580000000000002</v>
      </c>
      <c r="L115" s="53">
        <f>F115/24.53*100</f>
        <v>16.10273134936812</v>
      </c>
      <c r="M115" s="35">
        <f t="shared" si="49"/>
        <v>25</v>
      </c>
      <c r="N115" s="35">
        <f t="shared" si="49"/>
        <v>3.95</v>
      </c>
      <c r="O115" s="47">
        <f t="shared" si="52"/>
        <v>-21.05</v>
      </c>
      <c r="P115" s="53">
        <f>N115/M115*100</f>
        <v>15.8</v>
      </c>
      <c r="Q115" s="53">
        <f>N115-24.53</f>
        <v>-20.580000000000002</v>
      </c>
      <c r="R115" s="129">
        <f>N115/24.53</f>
        <v>0.1610273134936812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54">
        <f>SUM(F113:F115)</f>
        <v>15.670000000000002</v>
      </c>
      <c r="G116" s="55">
        <f t="shared" si="47"/>
        <v>-723.1890000000001</v>
      </c>
      <c r="H116" s="65">
        <f t="shared" si="50"/>
        <v>2.1208376699749207</v>
      </c>
      <c r="I116" s="54">
        <f t="shared" si="48"/>
        <v>-4417.487</v>
      </c>
      <c r="J116" s="54">
        <f t="shared" si="51"/>
        <v>0.3534727057940876</v>
      </c>
      <c r="K116" s="54">
        <f>F116-92.85</f>
        <v>-77.17999999999999</v>
      </c>
      <c r="L116" s="54">
        <f>F116/92.85*100</f>
        <v>16.876682821755523</v>
      </c>
      <c r="M116" s="55">
        <f>M114+M115+M113</f>
        <v>738.859</v>
      </c>
      <c r="N116" s="33">
        <f>SUM(N113:N115)</f>
        <v>15.670000000000002</v>
      </c>
      <c r="O116" s="54">
        <f t="shared" si="52"/>
        <v>-723.1890000000001</v>
      </c>
      <c r="P116" s="54">
        <f>N116/M116*100</f>
        <v>2.1208376699749207</v>
      </c>
      <c r="Q116" s="54">
        <f>N116-92.85</f>
        <v>-77.17999999999999</v>
      </c>
      <c r="R116" s="130">
        <f>N116/92.85</f>
        <v>0.16876682821755523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4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8" ht="31.5">
      <c r="B118" s="14" t="s">
        <v>157</v>
      </c>
      <c r="C118" s="99">
        <v>18010100</v>
      </c>
      <c r="D118" s="28">
        <v>0</v>
      </c>
      <c r="E118" s="28">
        <v>0</v>
      </c>
      <c r="F118" s="162">
        <v>1.32</v>
      </c>
      <c r="G118" s="43">
        <f t="shared" si="47"/>
        <v>1.32</v>
      </c>
      <c r="H118" s="35" t="e">
        <f t="shared" si="50"/>
        <v>#DIV/0!</v>
      </c>
      <c r="I118" s="53">
        <f t="shared" si="48"/>
        <v>1.32</v>
      </c>
      <c r="J118" s="53" t="e">
        <f t="shared" si="51"/>
        <v>#DIV/0!</v>
      </c>
      <c r="K118" s="53">
        <f>F118-54.32</f>
        <v>-53</v>
      </c>
      <c r="L118" s="53">
        <f>F118/54.32*100</f>
        <v>2.4300441826215025</v>
      </c>
      <c r="M118" s="35">
        <f>E118</f>
        <v>0</v>
      </c>
      <c r="N118" s="35">
        <f t="shared" si="53"/>
        <v>1.32</v>
      </c>
      <c r="O118" s="47" t="s">
        <v>166</v>
      </c>
      <c r="P118" s="53"/>
      <c r="Q118" s="53">
        <f>N118-54.32</f>
        <v>-53</v>
      </c>
      <c r="R118" s="129"/>
    </row>
    <row r="119" spans="2:18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62">
        <v>759.07</v>
      </c>
      <c r="G119" s="43">
        <f t="shared" si="47"/>
        <v>759.07</v>
      </c>
      <c r="H119" s="35" t="e">
        <f t="shared" si="50"/>
        <v>#DIV/0!</v>
      </c>
      <c r="I119" s="47">
        <f t="shared" si="48"/>
        <v>759.07</v>
      </c>
      <c r="J119" s="53" t="e">
        <f t="shared" si="51"/>
        <v>#DIV/0!</v>
      </c>
      <c r="K119" s="53">
        <f>F119-7479.86</f>
        <v>-6720.79</v>
      </c>
      <c r="L119" s="53">
        <f>F119/7479.86*100</f>
        <v>10.14818459169022</v>
      </c>
      <c r="M119" s="35">
        <f>E119</f>
        <v>0</v>
      </c>
      <c r="N119" s="35">
        <f t="shared" si="53"/>
        <v>759.07</v>
      </c>
      <c r="O119" s="47">
        <f t="shared" si="52"/>
        <v>759.07</v>
      </c>
      <c r="P119" s="53" t="e">
        <f aca="true" t="shared" si="54" ref="P119:P124">N119/M119*100</f>
        <v>#DIV/0!</v>
      </c>
      <c r="Q119" s="53">
        <f>N119-7479.86</f>
        <v>-6720.79</v>
      </c>
      <c r="R119" s="129">
        <f>N119/7479.86</f>
        <v>0.1014818459169022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62">
        <v>0.005</v>
      </c>
      <c r="G120" s="43">
        <f t="shared" si="47"/>
        <v>0.005</v>
      </c>
      <c r="H120" s="35" t="e">
        <f t="shared" si="50"/>
        <v>#DIV/0!</v>
      </c>
      <c r="I120" s="53">
        <f t="shared" si="48"/>
        <v>0.005</v>
      </c>
      <c r="J120" s="53" t="e">
        <f t="shared" si="51"/>
        <v>#DIV/0!</v>
      </c>
      <c r="K120" s="53">
        <f>F120-0.04</f>
        <v>-0.035</v>
      </c>
      <c r="L120" s="53">
        <f>F120/0.04*100</f>
        <v>12.5</v>
      </c>
      <c r="M120" s="35">
        <f>E120</f>
        <v>0</v>
      </c>
      <c r="N120" s="35">
        <f t="shared" si="53"/>
        <v>0.005</v>
      </c>
      <c r="O120" s="47">
        <f t="shared" si="52"/>
        <v>0.005</v>
      </c>
      <c r="P120" s="53" t="e">
        <f t="shared" si="54"/>
        <v>#DIV/0!</v>
      </c>
      <c r="Q120" s="53">
        <f>N120-0.04</f>
        <v>-0.035</v>
      </c>
      <c r="R120" s="129">
        <f>N120/0.04</f>
        <v>0.125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62">
        <v>0</v>
      </c>
      <c r="G121" s="43">
        <f t="shared" si="47"/>
        <v>0</v>
      </c>
      <c r="H121" s="35" t="e">
        <f t="shared" si="50"/>
        <v>#DIV/0!</v>
      </c>
      <c r="I121" s="53">
        <f t="shared" si="48"/>
        <v>0</v>
      </c>
      <c r="J121" s="53" t="e">
        <f>F121/D121*100</f>
        <v>#DIV/0!</v>
      </c>
      <c r="K121" s="53">
        <f>F121-450.01</f>
        <v>-450.01</v>
      </c>
      <c r="L121" s="53">
        <f>F121/450.01*100</f>
        <v>0</v>
      </c>
      <c r="M121" s="35">
        <f>E121</f>
        <v>0</v>
      </c>
      <c r="N121" s="35">
        <f t="shared" si="53"/>
        <v>0</v>
      </c>
      <c r="O121" s="47">
        <f t="shared" si="52"/>
        <v>0</v>
      </c>
      <c r="P121" s="53" t="e">
        <f t="shared" si="54"/>
        <v>#DIV/0!</v>
      </c>
      <c r="Q121" s="53">
        <f>N121-450.01</f>
        <v>-450.01</v>
      </c>
      <c r="R121" s="129">
        <f>N121/450.01</f>
        <v>0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62">
        <v>0</v>
      </c>
      <c r="G122" s="43">
        <f t="shared" si="47"/>
        <v>0</v>
      </c>
      <c r="H122" s="35" t="e">
        <f t="shared" si="50"/>
        <v>#DIV/0!</v>
      </c>
      <c r="I122" s="53">
        <f t="shared" si="48"/>
        <v>0</v>
      </c>
      <c r="J122" s="53" t="e">
        <f>F122/D122*100</f>
        <v>#DIV/0!</v>
      </c>
      <c r="K122" s="53">
        <f>F122-1.05</f>
        <v>-1.05</v>
      </c>
      <c r="L122" s="53">
        <f>F122/1.05*100</f>
        <v>0</v>
      </c>
      <c r="M122" s="35">
        <f>E122</f>
        <v>0</v>
      </c>
      <c r="N122" s="35">
        <f t="shared" si="53"/>
        <v>0</v>
      </c>
      <c r="O122" s="47">
        <f t="shared" si="52"/>
        <v>0</v>
      </c>
      <c r="P122" s="53" t="e">
        <f t="shared" si="54"/>
        <v>#DIV/0!</v>
      </c>
      <c r="Q122" s="53">
        <f>N122-1.05</f>
        <v>-1.05</v>
      </c>
      <c r="R122" s="129">
        <f>N122/1.05</f>
        <v>0</v>
      </c>
    </row>
    <row r="123" spans="2:18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54">
        <f>F119+F120+F121+F122+F118</f>
        <v>760.3950000000001</v>
      </c>
      <c r="G123" s="55">
        <f t="shared" si="47"/>
        <v>760.3950000000001</v>
      </c>
      <c r="H123" s="65" t="e">
        <f t="shared" si="50"/>
        <v>#DIV/0!</v>
      </c>
      <c r="I123" s="54">
        <f t="shared" si="48"/>
        <v>760.3950000000001</v>
      </c>
      <c r="J123" s="54" t="e">
        <f>F123/D123*100</f>
        <v>#DIV/0!</v>
      </c>
      <c r="K123" s="54">
        <f>F123-7985.28</f>
        <v>-7224.884999999999</v>
      </c>
      <c r="L123" s="54">
        <f>F123/7985.28*100</f>
        <v>9.522458824236598</v>
      </c>
      <c r="M123" s="55">
        <f>M119+M120+M121+M122+M118</f>
        <v>0</v>
      </c>
      <c r="N123" s="55">
        <f>N119+N120+N121+N122+N118</f>
        <v>760.3950000000001</v>
      </c>
      <c r="O123" s="54">
        <f t="shared" si="52"/>
        <v>760.3950000000001</v>
      </c>
      <c r="P123" s="54" t="e">
        <f t="shared" si="54"/>
        <v>#DIV/0!</v>
      </c>
      <c r="Q123" s="54">
        <f>N123-7985.28</f>
        <v>-7224.884999999999</v>
      </c>
      <c r="R123" s="130">
        <f>N123/7985.28</f>
        <v>0.09522458824236597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62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62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62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18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62">
        <v>2.07</v>
      </c>
      <c r="G127" s="43">
        <f aca="true" t="shared" si="56" ref="G127:G134">F127-E127</f>
        <v>-1429.348</v>
      </c>
      <c r="H127" s="35">
        <f>F127/E127*100</f>
        <v>0.14461184643479402</v>
      </c>
      <c r="I127" s="53">
        <f aca="true" t="shared" si="57" ref="I127:I134">F127-D127</f>
        <v>-8586.439</v>
      </c>
      <c r="J127" s="53">
        <f>F127/D127*100</f>
        <v>0.02410197159949416</v>
      </c>
      <c r="K127" s="53">
        <f>F127-17.67</f>
        <v>-15.600000000000001</v>
      </c>
      <c r="L127" s="53">
        <f>F127/84.2*100</f>
        <v>2.4584323040380043</v>
      </c>
      <c r="M127" s="35">
        <f t="shared" si="55"/>
        <v>1431.418</v>
      </c>
      <c r="N127" s="35">
        <f t="shared" si="55"/>
        <v>2.07</v>
      </c>
      <c r="O127" s="47">
        <f aca="true" t="shared" si="58" ref="O127:O134">N127-M127</f>
        <v>-1429.348</v>
      </c>
      <c r="P127" s="53">
        <f>N127/M127*100</f>
        <v>0.14461184643479402</v>
      </c>
      <c r="Q127" s="53">
        <f>N127-17.67</f>
        <v>-15.600000000000001</v>
      </c>
      <c r="R127" s="129">
        <f>N127/17.67</f>
        <v>0.11714770797962647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62">
        <v>0</v>
      </c>
      <c r="G128" s="43">
        <f t="shared" si="56"/>
        <v>0</v>
      </c>
      <c r="H128" s="35"/>
      <c r="I128" s="53">
        <f t="shared" si="57"/>
        <v>0</v>
      </c>
      <c r="J128" s="53"/>
      <c r="K128" s="53">
        <f>F128-(-0.21)</f>
        <v>0.21</v>
      </c>
      <c r="L128" s="53"/>
      <c r="M128" s="35">
        <f t="shared" si="55"/>
        <v>0</v>
      </c>
      <c r="N128" s="35">
        <f t="shared" si="55"/>
        <v>0</v>
      </c>
      <c r="O128" s="47">
        <f t="shared" si="58"/>
        <v>0</v>
      </c>
      <c r="P128" s="53"/>
      <c r="Q128" s="53">
        <f>N128-(-0.21)</f>
        <v>0.21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54">
        <f>F127+F124+F128+F126</f>
        <v>2.07</v>
      </c>
      <c r="G129" s="55">
        <f t="shared" si="56"/>
        <v>-1429.348</v>
      </c>
      <c r="H129" s="65">
        <f>F129/E129*100</f>
        <v>0.14461184643479402</v>
      </c>
      <c r="I129" s="54">
        <f t="shared" si="57"/>
        <v>-8586.439</v>
      </c>
      <c r="J129" s="54">
        <f>F129/D129*100</f>
        <v>0.02410197159949416</v>
      </c>
      <c r="K129" s="54">
        <f>F129-26.38</f>
        <v>-24.31</v>
      </c>
      <c r="L129" s="54">
        <f>F129/26.38*100</f>
        <v>7.846853677028051</v>
      </c>
      <c r="M129" s="55">
        <f>M124+M127+M128+M126</f>
        <v>1431.418</v>
      </c>
      <c r="N129" s="55">
        <f>N124+N127+N128+N126</f>
        <v>2.07</v>
      </c>
      <c r="O129" s="54">
        <f t="shared" si="58"/>
        <v>-1429.348</v>
      </c>
      <c r="P129" s="54">
        <f>N129/M129*100</f>
        <v>0.14461184643479402</v>
      </c>
      <c r="Q129" s="54">
        <f>N129-26.38</f>
        <v>-24.31</v>
      </c>
      <c r="R129" s="128">
        <f>N129/26.38</f>
        <v>0.07846853677028051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4">
        <v>0</v>
      </c>
      <c r="G130" s="43">
        <f>F130-E130</f>
        <v>0</v>
      </c>
      <c r="H130" s="35" t="e">
        <f>F130/E130*100</f>
        <v>#DIV/0!</v>
      </c>
      <c r="I130" s="53">
        <f>F130-D130</f>
        <v>0</v>
      </c>
      <c r="J130" s="53" t="e">
        <f>F130/D130*100</f>
        <v>#DIV/0!</v>
      </c>
      <c r="K130" s="53">
        <f>F130-0.45</f>
        <v>-0.45</v>
      </c>
      <c r="L130" s="53">
        <f>F130/0.45*100</f>
        <v>0</v>
      </c>
      <c r="M130" s="35">
        <f aca="true" t="shared" si="59" ref="M130:N132">E130</f>
        <v>0</v>
      </c>
      <c r="N130" s="35">
        <f t="shared" si="59"/>
        <v>0</v>
      </c>
      <c r="O130" s="47">
        <f>N130-M130</f>
        <v>0</v>
      </c>
      <c r="P130" s="53" t="e">
        <f>N130/M130*100</f>
        <v>#DIV/0!</v>
      </c>
      <c r="Q130" s="53">
        <f>N130-0.45</f>
        <v>-0.45</v>
      </c>
      <c r="R130" s="129">
        <f>N130/0.45</f>
        <v>0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4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4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55">
        <f>F116+F130+F123+F129+F132+F131</f>
        <v>778.1350000000001</v>
      </c>
      <c r="G133" s="44">
        <f t="shared" si="56"/>
        <v>-1392.1419999999998</v>
      </c>
      <c r="H133" s="45">
        <f>F133/E133*100</f>
        <v>35.85417898268286</v>
      </c>
      <c r="I133" s="31">
        <f t="shared" si="57"/>
        <v>-12243.531</v>
      </c>
      <c r="J133" s="31">
        <f>F133/D133*100</f>
        <v>5.975694661497231</v>
      </c>
      <c r="K133" s="31">
        <f>F133-8104.96</f>
        <v>-7326.825</v>
      </c>
      <c r="L133" s="31">
        <f>F133/8104.96*100</f>
        <v>9.600725975205307</v>
      </c>
      <c r="M133" s="27">
        <f>M116+M130+M123+M129+M132+M131</f>
        <v>2170.277</v>
      </c>
      <c r="N133" s="27">
        <f>N116+N130+N123+N129+N132+N131</f>
        <v>778.1350000000001</v>
      </c>
      <c r="O133" s="31">
        <f t="shared" si="58"/>
        <v>-1392.1419999999998</v>
      </c>
      <c r="P133" s="31">
        <f>N133/M133*100</f>
        <v>35.85417898268286</v>
      </c>
      <c r="Q133" s="31">
        <f>N133-8104.96</f>
        <v>-7326.825</v>
      </c>
      <c r="R133" s="127">
        <f>N133/8104.96</f>
        <v>0.09600725975205307</v>
      </c>
    </row>
    <row r="134" spans="2:18" ht="18.75">
      <c r="B134" s="24" t="s">
        <v>115</v>
      </c>
      <c r="C134" s="88"/>
      <c r="D134" s="27">
        <f>D106+D133</f>
        <v>249771.666</v>
      </c>
      <c r="E134" s="27">
        <f>E106+E133</f>
        <v>39896.277</v>
      </c>
      <c r="F134" s="155">
        <f>F106+F133</f>
        <v>8510.125</v>
      </c>
      <c r="G134" s="44">
        <f t="shared" si="56"/>
        <v>-31386.152000000002</v>
      </c>
      <c r="H134" s="45">
        <f>F134/E134*100</f>
        <v>21.33062440888908</v>
      </c>
      <c r="I134" s="31">
        <f t="shared" si="57"/>
        <v>-241261.541</v>
      </c>
      <c r="J134" s="31">
        <f>F134/D134*100</f>
        <v>3.4071618836061255</v>
      </c>
      <c r="K134" s="31">
        <f>F134-42872.96</f>
        <v>-34362.835</v>
      </c>
      <c r="L134" s="31">
        <f>F134/42872.96*100</f>
        <v>19.849632495633614</v>
      </c>
      <c r="M134" s="18">
        <f>M106+M133</f>
        <v>39896.277</v>
      </c>
      <c r="N134" s="18">
        <f>N106+N133</f>
        <v>8510.125</v>
      </c>
      <c r="O134" s="31">
        <f t="shared" si="58"/>
        <v>-31386.152000000002</v>
      </c>
      <c r="P134" s="31">
        <f>N134/M134*100</f>
        <v>21.33062440888908</v>
      </c>
      <c r="Q134" s="31">
        <f>N134-42872.96</f>
        <v>-34362.835</v>
      </c>
      <c r="R134" s="127">
        <f>N134/42872.96</f>
        <v>0.19849632495633612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16</v>
      </c>
      <c r="D136" s="4" t="s">
        <v>118</v>
      </c>
    </row>
    <row r="137" spans="2:17" ht="31.5">
      <c r="B137" s="71" t="s">
        <v>154</v>
      </c>
      <c r="C137" s="34">
        <f>IF(O106&lt;0,ABS(O106/C136),0)</f>
        <v>1874.6256250000001</v>
      </c>
      <c r="D137" s="4" t="s">
        <v>104</v>
      </c>
      <c r="G137" s="191"/>
      <c r="H137" s="191"/>
      <c r="I137" s="191"/>
      <c r="J137" s="19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42013</v>
      </c>
      <c r="D138" s="34">
        <v>1104.5</v>
      </c>
      <c r="N138" s="192"/>
      <c r="O138" s="192"/>
    </row>
    <row r="139" spans="3:15" ht="15.75">
      <c r="C139" s="111">
        <v>42012</v>
      </c>
      <c r="D139" s="34">
        <v>720.3</v>
      </c>
      <c r="F139" s="3" t="s">
        <v>166</v>
      </c>
      <c r="G139" s="193" t="s">
        <v>151</v>
      </c>
      <c r="H139" s="193"/>
      <c r="I139" s="106">
        <v>8909.73221</v>
      </c>
      <c r="J139" s="160" t="s">
        <v>161</v>
      </c>
      <c r="K139" s="160"/>
      <c r="L139" s="160"/>
      <c r="M139" s="160"/>
      <c r="N139" s="192"/>
      <c r="O139" s="192"/>
    </row>
    <row r="140" spans="3:15" ht="15.75">
      <c r="C140" s="111">
        <v>42010</v>
      </c>
      <c r="D140" s="34">
        <v>5907.2</v>
      </c>
      <c r="G140" s="195" t="s">
        <v>155</v>
      </c>
      <c r="H140" s="195"/>
      <c r="I140" s="103">
        <v>0</v>
      </c>
      <c r="J140" s="196" t="s">
        <v>162</v>
      </c>
      <c r="K140" s="196"/>
      <c r="L140" s="196"/>
      <c r="M140" s="196"/>
      <c r="N140" s="192"/>
      <c r="O140" s="192"/>
    </row>
    <row r="141" spans="7:13" ht="15.75" customHeight="1">
      <c r="G141" s="193" t="s">
        <v>148</v>
      </c>
      <c r="H141" s="193"/>
      <c r="I141" s="103">
        <v>0</v>
      </c>
      <c r="J141" s="160" t="s">
        <v>163</v>
      </c>
      <c r="K141" s="160"/>
      <c r="L141" s="160"/>
      <c r="M141" s="160"/>
    </row>
    <row r="142" spans="2:13" ht="18.75" customHeight="1">
      <c r="B142" s="197" t="s">
        <v>160</v>
      </c>
      <c r="C142" s="198"/>
      <c r="D142" s="108">
        <v>124473.19637</v>
      </c>
      <c r="E142" s="73"/>
      <c r="F142" s="164" t="s">
        <v>147</v>
      </c>
      <c r="G142" s="193" t="s">
        <v>149</v>
      </c>
      <c r="H142" s="193"/>
      <c r="I142" s="107">
        <v>115563.46416</v>
      </c>
      <c r="J142" s="160" t="s">
        <v>164</v>
      </c>
      <c r="K142" s="160"/>
      <c r="L142" s="160"/>
      <c r="M142" s="160"/>
    </row>
    <row r="143" spans="7:12" ht="9.75" customHeight="1">
      <c r="G143" s="199"/>
      <c r="H143" s="199"/>
      <c r="I143" s="90"/>
      <c r="J143" s="91"/>
      <c r="K143" s="91"/>
      <c r="L143" s="91"/>
    </row>
    <row r="144" spans="2:12" ht="22.5" customHeight="1" hidden="1">
      <c r="B144" s="200" t="s">
        <v>167</v>
      </c>
      <c r="C144" s="201"/>
      <c r="D144" s="110">
        <v>0</v>
      </c>
      <c r="E144" s="70" t="s">
        <v>104</v>
      </c>
      <c r="G144" s="199"/>
      <c r="H144" s="199"/>
      <c r="I144" s="90"/>
      <c r="J144" s="91"/>
      <c r="K144" s="91"/>
      <c r="L144" s="91"/>
    </row>
    <row r="145" spans="4:15" ht="15.75">
      <c r="D145" s="105"/>
      <c r="N145" s="199"/>
      <c r="O145" s="199"/>
    </row>
    <row r="146" spans="4:15" ht="15.75">
      <c r="D146" s="104"/>
      <c r="I146" s="34"/>
      <c r="N146" s="202"/>
      <c r="O146" s="202"/>
    </row>
    <row r="147" spans="14:15" ht="15.75">
      <c r="N147" s="199"/>
      <c r="O147" s="19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2015-01-12T10:38:34Z</cp:lastPrinted>
  <dcterms:created xsi:type="dcterms:W3CDTF">2003-07-28T11:27:56Z</dcterms:created>
  <dcterms:modified xsi:type="dcterms:W3CDTF">2015-01-12T11:30:51Z</dcterms:modified>
  <cp:category/>
  <cp:version/>
  <cp:contentType/>
  <cp:contentStatus/>
</cp:coreProperties>
</file>